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Analog\ChetaPD\Project Outputs for ChetaPDInterfaceBoard\"/>
    </mc:Choice>
  </mc:AlternateContent>
  <xr:revisionPtr revIDLastSave="0" documentId="13_ncr:1_{07F7C51B-86CD-42DC-A98B-0F70ACAF6942}" xr6:coauthVersionLast="47" xr6:coauthVersionMax="47" xr10:uidLastSave="{00000000-0000-0000-0000-000000000000}"/>
  <bookViews>
    <workbookView xWindow="1140" yWindow="450" windowWidth="35520" windowHeight="205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3" l="1"/>
  <c r="L18" i="3" s="1"/>
  <c r="M18" i="3" s="1"/>
  <c r="J18" i="3"/>
  <c r="K17" i="3"/>
  <c r="J17" i="3"/>
  <c r="K16" i="3"/>
  <c r="L16" i="3" s="1"/>
  <c r="M16" i="3" s="1"/>
  <c r="J16" i="3"/>
  <c r="K15" i="3"/>
  <c r="J15" i="3"/>
  <c r="K14" i="3"/>
  <c r="L14" i="3" s="1"/>
  <c r="M14" i="3" s="1"/>
  <c r="J14" i="3"/>
  <c r="K13" i="3"/>
  <c r="J13" i="3"/>
  <c r="K12" i="3"/>
  <c r="L12" i="3" s="1"/>
  <c r="M12" i="3" s="1"/>
  <c r="J12" i="3"/>
  <c r="K11" i="3"/>
  <c r="J11" i="3"/>
  <c r="L17" i="3" l="1"/>
  <c r="M17" i="3" s="1"/>
  <c r="L11" i="3"/>
  <c r="M11" i="3" s="1"/>
  <c r="L13" i="3"/>
  <c r="M13" i="3" s="1"/>
  <c r="L15" i="3"/>
  <c r="M15" i="3" s="1"/>
  <c r="K10" i="3"/>
  <c r="J10" i="3"/>
  <c r="E29" i="3"/>
  <c r="E28" i="3"/>
  <c r="E27" i="3"/>
  <c r="E26" i="3"/>
  <c r="E25" i="3"/>
  <c r="E24" i="3"/>
  <c r="B19" i="3"/>
  <c r="D8" i="3"/>
  <c r="E8" i="3"/>
  <c r="L10" i="3" l="1"/>
  <c r="M10" i="3"/>
</calcChain>
</file>

<file path=xl/sharedStrings.xml><?xml version="1.0" encoding="utf-8"?>
<sst xmlns="http://schemas.openxmlformats.org/spreadsheetml/2006/main" count="98" uniqueCount="82">
  <si>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</si>
  <si>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</si>
  <si>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</si>
  <si>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</si>
  <si>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</si>
  <si>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</si>
  <si>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</si>
  <si>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</si>
  <si>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</si>
  <si>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</si>
  <si>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</si>
  <si>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</si>
  <si>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</si>
  <si>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</si>
  <si>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</si>
  <si>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</si>
  <si>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</si>
  <si>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</si>
  <si>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</si>
  <si>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</si>
  <si>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D2500307</t>
  </si>
  <si>
    <t>1</t>
  </si>
  <si>
    <t>ChetaPDInterfaceBoard.PrjPcb</t>
  </si>
  <si>
    <t>10</t>
  </si>
  <si>
    <t/>
  </si>
  <si>
    <t>9/26/2025</t>
  </si>
  <si>
    <t>3:45 PM</t>
  </si>
  <si>
    <t>Quantity</t>
  </si>
  <si>
    <t>Distributor</t>
  </si>
  <si>
    <t>Digi-Key</t>
  </si>
  <si>
    <t>Digikey</t>
  </si>
  <si>
    <t>Part Number</t>
  </si>
  <si>
    <t>36-708-ND</t>
  </si>
  <si>
    <t>311-1140-1-ND</t>
  </si>
  <si>
    <t>490-4798-1-ND</t>
  </si>
  <si>
    <t>A32119-ND</t>
  </si>
  <si>
    <t>WM5236-ND</t>
  </si>
  <si>
    <t>RR12Q10DCT-ND</t>
  </si>
  <si>
    <t>36-5005-ND</t>
  </si>
  <si>
    <t>36-5007-ND</t>
  </si>
  <si>
    <t>36-5006-ND</t>
  </si>
  <si>
    <t>Comment</t>
  </si>
  <si>
    <t>Bracket</t>
  </si>
  <si>
    <t>100n</t>
  </si>
  <si>
    <t>10u</t>
  </si>
  <si>
    <t>DB9F</t>
  </si>
  <si>
    <t>Header 3H</t>
  </si>
  <si>
    <t>+15</t>
  </si>
  <si>
    <t>-15</t>
  </si>
  <si>
    <t>GND</t>
  </si>
  <si>
    <t>Description</t>
  </si>
  <si>
    <t>Keystone Electronics right-angle 6-32 steel, 708</t>
  </si>
  <si>
    <t>Capacitor, surface mount</t>
  </si>
  <si>
    <t>Receptacle Assembly, 9 Position, Right Angle, .318 Series</t>
  </si>
  <si>
    <t>Header, 3-Pin, Right Angle</t>
  </si>
  <si>
    <t>Resistor, surface mount</t>
  </si>
  <si>
    <t>Testpoint, red</t>
  </si>
  <si>
    <t>Testpoint, white</t>
  </si>
  <si>
    <t>Testpoint, black</t>
  </si>
  <si>
    <t>Designator</t>
  </si>
  <si>
    <t>B1, B2</t>
  </si>
  <si>
    <t>C3, C4</t>
  </si>
  <si>
    <t>C5, C6</t>
  </si>
  <si>
    <t>J1, J2, J3, J4</t>
  </si>
  <si>
    <t>P1</t>
  </si>
  <si>
    <t>R1, R2, R3, R4, R5, R6, R7, R8, R9, R10, R11, R12</t>
  </si>
  <si>
    <t>TP1</t>
  </si>
  <si>
    <t>TP2</t>
  </si>
  <si>
    <t>TP3, TP4</t>
  </si>
  <si>
    <t>Footprint</t>
  </si>
  <si>
    <t>Bracket-RA_708</t>
  </si>
  <si>
    <t>CC2013-0805</t>
  </si>
  <si>
    <t>CC3225-1210</t>
  </si>
  <si>
    <t>DB9F-RA</t>
  </si>
  <si>
    <t>Molex_156_RA_3</t>
  </si>
  <si>
    <t>CR2012-0805</t>
  </si>
  <si>
    <t>TP1-RED</t>
  </si>
  <si>
    <t>TP1-WHT</t>
  </si>
  <si>
    <t>TP1-BLK</t>
  </si>
  <si>
    <t>Assembly Type</t>
  </si>
  <si>
    <t>M</t>
  </si>
  <si>
    <t>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</si>
</sst>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19" totalsRowShown="0" headerRowDxfId="17" dataDxfId="15" headerRowBorderDxfId="16" tableBorderDxfId="14">
  <autoFilter ref="B9:M19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29"/>
  <sheetViews>
    <sheetView showGridLines="0" tabSelected="1" zoomScaleNormal="100" workbookViewId="0">
      <selection activeCell="F31" sqref="F31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49" t="s">
        <v>20</v>
      </c>
      <c r="H2" s="22" t="s">
        <v>12</v>
      </c>
      <c r="I2" s="50" t="s">
        <v>21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1" t="s">
        <v>22</v>
      </c>
      <c r="E4" s="8"/>
      <c r="F4" s="6"/>
      <c r="G4" s="55" t="s">
        <v>15</v>
      </c>
      <c r="H4" s="56"/>
      <c r="I4" s="52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53" t="s">
        <v>24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54" t="s">
        <v>25</v>
      </c>
      <c r="E7" s="54" t="s">
        <v>26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45926</v>
      </c>
      <c r="E8" s="57">
        <f ca="1">NOW()</f>
        <v>45926.65679108796</v>
      </c>
      <c r="F8" s="58"/>
      <c r="G8" s="11"/>
      <c r="H8" s="11"/>
      <c r="M8" s="24"/>
    </row>
    <row r="9" spans="1:13" s="2" customFormat="1" ht="24.75" customHeight="1" x14ac:dyDescent="0.25">
      <c r="A9" s="13"/>
      <c r="B9" s="38" t="s">
        <v>27</v>
      </c>
      <c r="C9" s="39" t="s">
        <v>28</v>
      </c>
      <c r="D9" s="39" t="s">
        <v>31</v>
      </c>
      <c r="E9" s="39" t="s">
        <v>41</v>
      </c>
      <c r="F9" s="39" t="s">
        <v>50</v>
      </c>
      <c r="G9" s="40" t="s">
        <v>59</v>
      </c>
      <c r="H9" s="39" t="s">
        <v>69</v>
      </c>
      <c r="I9" s="39" t="s">
        <v>79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20.5" x14ac:dyDescent="0.25">
      <c r="A10" s="13"/>
      <c r="B10" s="45">
        <v>2</v>
      </c>
      <c r="C10" s="46" t="s">
        <v>29</v>
      </c>
      <c r="D10" s="46" t="s">
        <v>32</v>
      </c>
      <c r="E10" s="46" t="s">
        <v>42</v>
      </c>
      <c r="F10" s="46" t="s">
        <v>51</v>
      </c>
      <c r="G10" s="46" t="s">
        <v>60</v>
      </c>
      <c r="H10" s="46" t="s">
        <v>70</v>
      </c>
      <c r="I10" s="46" t="s">
        <v>80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25</v>
      </c>
    </row>
    <row r="11" spans="1:13" s="2" customFormat="1" ht="13" x14ac:dyDescent="0.25">
      <c r="A11" s="13"/>
      <c r="B11" s="45">
        <v>2</v>
      </c>
      <c r="C11" s="46" t="s">
        <v>29</v>
      </c>
      <c r="D11" s="46" t="s">
        <v>33</v>
      </c>
      <c r="E11" s="46" t="s">
        <v>43</v>
      </c>
      <c r="F11" s="46" t="s">
        <v>52</v>
      </c>
      <c r="G11" s="46" t="s">
        <v>61</v>
      </c>
      <c r="H11" s="46" t="s">
        <v>71</v>
      </c>
      <c r="I11" s="46" t="s">
        <v>24</v>
      </c>
      <c r="J11" s="48">
        <f>+IF(OR(I11="BGA",I11="FP",I11="TH"),1,IF($I$4*B11&lt;100,5,0))</f>
        <v>5</v>
      </c>
      <c r="K11" s="47">
        <f>+IF(AND(I11="",$I$4*B11&gt;100),0.05,0)</f>
        <v>0</v>
      </c>
      <c r="L11" s="48">
        <f>+ROUNDUP($I$4*B11*K11+J11,0)</f>
        <v>5</v>
      </c>
      <c r="M11" s="41">
        <f>+IF(OR(LEFT(G11&amp;"",1)="C",LEFT(G11&amp;"",1)="R"),ROUNDUP($I$4*B11+L11,-1),$I$4*B11+L11)</f>
        <v>30</v>
      </c>
    </row>
    <row r="12" spans="1:13" s="2" customFormat="1" ht="13" x14ac:dyDescent="0.25">
      <c r="A12" s="13"/>
      <c r="B12" s="45">
        <v>2</v>
      </c>
      <c r="C12" s="46" t="s">
        <v>29</v>
      </c>
      <c r="D12" s="46" t="s">
        <v>34</v>
      </c>
      <c r="E12" s="46" t="s">
        <v>44</v>
      </c>
      <c r="F12" s="46" t="s">
        <v>52</v>
      </c>
      <c r="G12" s="46" t="s">
        <v>62</v>
      </c>
      <c r="H12" s="46" t="s">
        <v>72</v>
      </c>
      <c r="I12" s="46" t="s">
        <v>24</v>
      </c>
      <c r="J12" s="48">
        <f t="shared" ref="J12" si="0">+IF(OR(I12="BGA",I12="FP",I12="TH"),1,IF($I$4*B12&lt;100,5,0))</f>
        <v>5</v>
      </c>
      <c r="K12" s="47">
        <f t="shared" ref="K12" si="1">+IF(AND(I12="",$I$4*B12&gt;100),0.05,0)</f>
        <v>0</v>
      </c>
      <c r="L12" s="48">
        <f t="shared" ref="L12" si="2">+ROUNDUP($I$4*B12*K12+J12,0)</f>
        <v>5</v>
      </c>
      <c r="M12" s="41">
        <f t="shared" ref="M12" si="3">+IF(OR(LEFT(G12&amp;"",1)="C",LEFT(G12&amp;"",1)="R"),ROUNDUP($I$4*B12+L12,-1),$I$4*B12+L12)</f>
        <v>30</v>
      </c>
    </row>
    <row r="13" spans="1:13" s="2" customFormat="1" ht="20.5" x14ac:dyDescent="0.25">
      <c r="A13" s="13"/>
      <c r="B13" s="45">
        <v>4</v>
      </c>
      <c r="C13" s="46" t="s">
        <v>29</v>
      </c>
      <c r="D13" s="46" t="s">
        <v>35</v>
      </c>
      <c r="E13" s="46" t="s">
        <v>45</v>
      </c>
      <c r="F13" s="46" t="s">
        <v>53</v>
      </c>
      <c r="G13" s="46" t="s">
        <v>63</v>
      </c>
      <c r="H13" s="46" t="s">
        <v>73</v>
      </c>
      <c r="I13" s="46" t="s">
        <v>81</v>
      </c>
      <c r="J13" s="48">
        <f>+IF(OR(I13="BGA",I13="FP",I13="TH"),1,IF($I$4*B13&lt;100,5,0))</f>
        <v>1</v>
      </c>
      <c r="K13" s="47">
        <f>+IF(AND(I13="",$I$4*B13&gt;100),0.05,0)</f>
        <v>0</v>
      </c>
      <c r="L13" s="48">
        <f>+ROUNDUP($I$4*B13*K13+J13,0)</f>
        <v>1</v>
      </c>
      <c r="M13" s="41">
        <f>+IF(OR(LEFT(G13&amp;"",1)="C",LEFT(G13&amp;"",1)="R"),ROUNDUP($I$4*B13+L13,-1),$I$4*B13+L13)</f>
        <v>41</v>
      </c>
    </row>
    <row r="14" spans="1:13" s="2" customFormat="1" ht="13" x14ac:dyDescent="0.25">
      <c r="A14" s="13"/>
      <c r="B14" s="45">
        <v>1</v>
      </c>
      <c r="C14" s="46" t="s">
        <v>30</v>
      </c>
      <c r="D14" s="46" t="s">
        <v>36</v>
      </c>
      <c r="E14" s="46" t="s">
        <v>46</v>
      </c>
      <c r="F14" s="46" t="s">
        <v>54</v>
      </c>
      <c r="G14" s="46" t="s">
        <v>64</v>
      </c>
      <c r="H14" s="46" t="s">
        <v>74</v>
      </c>
      <c r="I14" s="46" t="s">
        <v>81</v>
      </c>
      <c r="J14" s="48">
        <f t="shared" ref="J14" si="4">+IF(OR(I14="BGA",I14="FP",I14="TH"),1,IF($I$4*B14&lt;100,5,0))</f>
        <v>1</v>
      </c>
      <c r="K14" s="47">
        <f t="shared" ref="K14" si="5">+IF(AND(I14="",$I$4*B14&gt;100),0.05,0)</f>
        <v>0</v>
      </c>
      <c r="L14" s="48">
        <f t="shared" ref="L14" si="6">+ROUNDUP($I$4*B14*K14+J14,0)</f>
        <v>1</v>
      </c>
      <c r="M14" s="41">
        <f t="shared" ref="M14" si="7">+IF(OR(LEFT(G14&amp;"",1)="C",LEFT(G14&amp;"",1)="R"),ROUNDUP($I$4*B14+L14,-1),$I$4*B14+L14)</f>
        <v>11</v>
      </c>
    </row>
    <row r="15" spans="1:13" s="2" customFormat="1" ht="13" x14ac:dyDescent="0.25">
      <c r="A15" s="13"/>
      <c r="B15" s="45">
        <v>12</v>
      </c>
      <c r="C15" s="46" t="s">
        <v>29</v>
      </c>
      <c r="D15" s="46" t="s">
        <v>37</v>
      </c>
      <c r="E15" s="46" t="s">
        <v>23</v>
      </c>
      <c r="F15" s="46" t="s">
        <v>55</v>
      </c>
      <c r="G15" s="46" t="s">
        <v>65</v>
      </c>
      <c r="H15" s="46" t="s">
        <v>75</v>
      </c>
      <c r="I15" s="46" t="s">
        <v>24</v>
      </c>
      <c r="J15" s="48">
        <f>+IF(OR(I15="BGA",I15="FP",I15="TH"),1,IF($I$4*B15&lt;100,5,0))</f>
        <v>0</v>
      </c>
      <c r="K15" s="47">
        <f>+IF(AND(I15="",$I$4*B15&gt;100),0.05,0)</f>
        <v>0.05</v>
      </c>
      <c r="L15" s="48">
        <f>+ROUNDUP($I$4*B15*K15+J15,0)</f>
        <v>6</v>
      </c>
      <c r="M15" s="41">
        <f>+IF(OR(LEFT(G15&amp;"",1)="C",LEFT(G15&amp;"",1)="R"),ROUNDUP($I$4*B15+L15,-1),$I$4*B15+L15)</f>
        <v>130</v>
      </c>
    </row>
    <row r="16" spans="1:13" s="2" customFormat="1" ht="13" x14ac:dyDescent="0.25">
      <c r="A16" s="13"/>
      <c r="B16" s="45">
        <v>1</v>
      </c>
      <c r="C16" s="46" t="s">
        <v>29</v>
      </c>
      <c r="D16" s="46" t="s">
        <v>38</v>
      </c>
      <c r="E16" s="46" t="s">
        <v>47</v>
      </c>
      <c r="F16" s="46" t="s">
        <v>56</v>
      </c>
      <c r="G16" s="46" t="s">
        <v>66</v>
      </c>
      <c r="H16" s="46" t="s">
        <v>76</v>
      </c>
      <c r="I16" s="46" t="s">
        <v>81</v>
      </c>
      <c r="J16" s="48">
        <f t="shared" ref="J16" si="8">+IF(OR(I16="BGA",I16="FP",I16="TH"),1,IF($I$4*B16&lt;100,5,0))</f>
        <v>1</v>
      </c>
      <c r="K16" s="47">
        <f t="shared" ref="K16" si="9">+IF(AND(I16="",$I$4*B16&gt;100),0.05,0)</f>
        <v>0</v>
      </c>
      <c r="L16" s="48">
        <f t="shared" ref="L16" si="10">+ROUNDUP($I$4*B16*K16+J16,0)</f>
        <v>1</v>
      </c>
      <c r="M16" s="41">
        <f t="shared" ref="M16" si="11">+IF(OR(LEFT(G16&amp;"",1)="C",LEFT(G16&amp;"",1)="R"),ROUNDUP($I$4*B16+L16,-1),$I$4*B16+L16)</f>
        <v>11</v>
      </c>
    </row>
    <row r="17" spans="1:13" s="2" customFormat="1" ht="13" x14ac:dyDescent="0.25">
      <c r="A17" s="13"/>
      <c r="B17" s="45">
        <v>1</v>
      </c>
      <c r="C17" s="46" t="s">
        <v>29</v>
      </c>
      <c r="D17" s="46" t="s">
        <v>39</v>
      </c>
      <c r="E17" s="46" t="s">
        <v>48</v>
      </c>
      <c r="F17" s="46" t="s">
        <v>57</v>
      </c>
      <c r="G17" s="46" t="s">
        <v>67</v>
      </c>
      <c r="H17" s="46" t="s">
        <v>77</v>
      </c>
      <c r="I17" s="46" t="s">
        <v>81</v>
      </c>
      <c r="J17" s="48">
        <f>+IF(OR(I17="BGA",I17="FP",I17="TH"),1,IF($I$4*B17&lt;100,5,0))</f>
        <v>1</v>
      </c>
      <c r="K17" s="47">
        <f>+IF(AND(I17="",$I$4*B17&gt;100),0.05,0)</f>
        <v>0</v>
      </c>
      <c r="L17" s="48">
        <f>+ROUNDUP($I$4*B17*K17+J17,0)</f>
        <v>1</v>
      </c>
      <c r="M17" s="41">
        <f>+IF(OR(LEFT(G17&amp;"",1)="C",LEFT(G17&amp;"",1)="R"),ROUNDUP($I$4*B17+L17,-1),$I$4*B17+L17)</f>
        <v>11</v>
      </c>
    </row>
    <row r="18" spans="1:13" x14ac:dyDescent="0.25">
      <c r="A18" s="13"/>
      <c r="B18" s="45">
        <v>2</v>
      </c>
      <c r="C18" s="46" t="s">
        <v>29</v>
      </c>
      <c r="D18" s="46" t="s">
        <v>40</v>
      </c>
      <c r="E18" s="46" t="s">
        <v>49</v>
      </c>
      <c r="F18" s="46" t="s">
        <v>58</v>
      </c>
      <c r="G18" s="46" t="s">
        <v>68</v>
      </c>
      <c r="H18" s="46" t="s">
        <v>78</v>
      </c>
      <c r="I18" s="46" t="s">
        <v>81</v>
      </c>
      <c r="J18" s="48">
        <f t="shared" ref="J18" si="12">+IF(OR(I18="BGA",I18="FP",I18="TH"),1,IF($I$4*B18&lt;100,5,0))</f>
        <v>1</v>
      </c>
      <c r="K18" s="47">
        <f t="shared" ref="K18" si="13">+IF(AND(I18="",$I$4*B18&gt;100),0.05,0)</f>
        <v>0</v>
      </c>
      <c r="L18" s="48">
        <f t="shared" ref="L18" si="14">+ROUNDUP($I$4*B18*K18+J18,0)</f>
        <v>1</v>
      </c>
      <c r="M18" s="41">
        <f t="shared" ref="M18" si="15">+IF(OR(LEFT(G18&amp;"",1)="C",LEFT(G18&amp;"",1)="R"),ROUNDUP($I$4*B18+L18,-1),$I$4*B18+L18)</f>
        <v>21</v>
      </c>
    </row>
    <row r="19" spans="1:13" x14ac:dyDescent="0.25">
      <c r="A19" s="14"/>
      <c r="B19" s="42">
        <f>SUM(B10:B18)</f>
        <v>27</v>
      </c>
      <c r="C19" s="43" t="s">
        <v>9</v>
      </c>
      <c r="D19" s="43"/>
      <c r="E19" s="43"/>
      <c r="F19" s="43"/>
      <c r="G19" s="44"/>
      <c r="H19" s="44"/>
      <c r="I19" s="43"/>
      <c r="J19" s="44"/>
      <c r="K19" s="44"/>
      <c r="L19" s="44"/>
      <c r="M19" s="44"/>
    </row>
    <row r="20" spans="1:13" x14ac:dyDescent="0.25">
      <c r="B20" s="1"/>
      <c r="C20" s="1"/>
    </row>
    <row r="21" spans="1:13" x14ac:dyDescent="0.25">
      <c r="B21" s="1"/>
      <c r="C21" s="1"/>
    </row>
    <row r="22" spans="1:13" x14ac:dyDescent="0.25">
      <c r="B22" s="1"/>
      <c r="C22" s="1"/>
    </row>
    <row r="23" spans="1:13" ht="17.5" x14ac:dyDescent="0.25">
      <c r="B23" s="1"/>
      <c r="C23" s="59" t="s">
        <v>8</v>
      </c>
      <c r="D23" s="60"/>
      <c r="E23" s="61"/>
      <c r="F23" s="20"/>
      <c r="G23" s="21"/>
    </row>
    <row r="24" spans="1:13" x14ac:dyDescent="0.25">
      <c r="C24" s="33" t="s">
        <v>3</v>
      </c>
      <c r="D24" s="34"/>
      <c r="E24" s="35">
        <f>COUNT(B10:B18)</f>
        <v>9</v>
      </c>
    </row>
    <row r="25" spans="1:13" x14ac:dyDescent="0.25">
      <c r="C25" s="16" t="s">
        <v>4</v>
      </c>
      <c r="D25" s="30"/>
      <c r="E25" s="28">
        <f>SUMIF($I$10:$I$18, "", $B$10:$B$18)</f>
        <v>16</v>
      </c>
    </row>
    <row r="26" spans="1:13" x14ac:dyDescent="0.25">
      <c r="C26" s="33" t="s">
        <v>5</v>
      </c>
      <c r="D26" s="34"/>
      <c r="E26" s="36">
        <f>SUMIF($I$10:$I$18, "TH", $B$10:$B$18)</f>
        <v>9</v>
      </c>
    </row>
    <row r="27" spans="1:13" x14ac:dyDescent="0.25">
      <c r="C27" s="16" t="s">
        <v>6</v>
      </c>
      <c r="D27" s="30"/>
      <c r="E27" s="28">
        <f>SUMIF($I$10:$I$18, "FP", $B$10:$B$18)</f>
        <v>0</v>
      </c>
    </row>
    <row r="28" spans="1:13" x14ac:dyDescent="0.25">
      <c r="C28" s="33" t="s">
        <v>7</v>
      </c>
      <c r="D28" s="34"/>
      <c r="E28" s="36">
        <f>SUMIF($I$10:$I$18, "BGA", $B$10:$B$18)</f>
        <v>0</v>
      </c>
    </row>
    <row r="29" spans="1:13" x14ac:dyDescent="0.25">
      <c r="C29" s="27" t="s">
        <v>16</v>
      </c>
      <c r="D29" s="31"/>
      <c r="E29" s="29">
        <f>SUMIF($I$10:$I$18, "M", $B$10:$B$18)</f>
        <v>2</v>
      </c>
    </row>
  </sheetData>
  <mergeCells count="3">
    <mergeCell ref="G4:H4"/>
    <mergeCell ref="E8:F8"/>
    <mergeCell ref="C23:E23"/>
  </mergeCells>
  <phoneticPr fontId="0" type="noConversion"/>
  <conditionalFormatting sqref="B10:L18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2025-09-26T22:45:48Z</dcterms:modified>
</cp:coreProperties>
</file>